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1718\Desktop\★★上下水道料金エクセル★★\"/>
    </mc:Choice>
  </mc:AlternateContent>
  <xr:revisionPtr revIDLastSave="0" documentId="13_ncr:1_{7FE5D5A3-A3AF-4E51-98E5-8EA379A9C014}" xr6:coauthVersionLast="47" xr6:coauthVersionMax="47" xr10:uidLastSave="{00000000-0000-0000-0000-000000000000}"/>
  <workbookProtection workbookAlgorithmName="SHA-512" workbookHashValue="/JGXfTDyK8jlpFvFmti7VNwN+SQCrr/Ht9NCGmZD3wLpRXXZRU0kCq5hT+wOpvCqd1UWR4GzmRmmKjQBpu6Xpw==" workbookSaltValue="EsFiLKOHj0WlwqWU4f7jmw==" workbookSpinCount="100000" lockStructure="1"/>
  <bookViews>
    <workbookView xWindow="-28920" yWindow="-120" windowWidth="29040" windowHeight="15720" firstSheet="2" activeTab="2" xr2:uid="{5D3E3E9B-178E-4D54-B517-2194966A0B2A}"/>
  </bookViews>
  <sheets>
    <sheet name="水道" sheetId="2" state="hidden" r:id="rId1"/>
    <sheet name="下水" sheetId="1" state="hidden" r:id="rId2"/>
    <sheet name="上下水" sheetId="3" r:id="rId3"/>
  </sheets>
  <definedNames>
    <definedName name="_xlnm.Print_Area" localSheetId="0">水道!$A$1:$N$20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6" i="3" l="1"/>
  <c r="P19" i="3"/>
  <c r="P18" i="3"/>
  <c r="P17" i="3"/>
  <c r="S9" i="3"/>
  <c r="S15" i="3"/>
  <c r="O6" i="3"/>
  <c r="O7" i="3"/>
  <c r="S8" i="3"/>
  <c r="K12" i="3"/>
  <c r="L12" i="3" s="1"/>
  <c r="J12" i="3"/>
  <c r="K11" i="3"/>
  <c r="L11" i="3" s="1"/>
  <c r="J11" i="3"/>
  <c r="K10" i="3"/>
  <c r="L10" i="3" s="1"/>
  <c r="J10" i="3"/>
  <c r="K9" i="3"/>
  <c r="L9" i="3" s="1"/>
  <c r="J9" i="3"/>
  <c r="K8" i="3"/>
  <c r="L8" i="3" s="1"/>
  <c r="J8" i="3"/>
  <c r="J19" i="3"/>
  <c r="K7" i="3"/>
  <c r="L7" i="3" s="1"/>
  <c r="J7" i="3"/>
  <c r="J18" i="3"/>
  <c r="K6" i="3"/>
  <c r="L6" i="3" s="1"/>
  <c r="J6" i="3"/>
  <c r="J17" i="3"/>
  <c r="K18" i="3" s="1"/>
  <c r="K5" i="3"/>
  <c r="L5" i="3" s="1"/>
  <c r="J5" i="3"/>
  <c r="Q14" i="2"/>
  <c r="Q13" i="2"/>
  <c r="P7" i="2"/>
  <c r="P6" i="2"/>
  <c r="P5" i="2"/>
  <c r="Q5" i="2" s="1"/>
  <c r="J5" i="2"/>
  <c r="K5" i="2"/>
  <c r="L5" i="2" s="1"/>
  <c r="J6" i="2"/>
  <c r="K6" i="2"/>
  <c r="L6" i="2" s="1"/>
  <c r="J7" i="2"/>
  <c r="K7" i="2"/>
  <c r="L7" i="2" s="1"/>
  <c r="J8" i="2"/>
  <c r="K8" i="2"/>
  <c r="L8" i="2" s="1"/>
  <c r="J9" i="2"/>
  <c r="K9" i="2"/>
  <c r="L9" i="2" s="1"/>
  <c r="J10" i="2"/>
  <c r="K10" i="2"/>
  <c r="L10" i="2" s="1"/>
  <c r="J11" i="2"/>
  <c r="K11" i="2"/>
  <c r="L11" i="2" s="1"/>
  <c r="J12" i="2"/>
  <c r="K12" i="2"/>
  <c r="L12" i="2" s="1"/>
  <c r="M7" i="1"/>
  <c r="L7" i="1" s="1"/>
  <c r="M8" i="1"/>
  <c r="L8" i="1" s="1"/>
  <c r="M9" i="1"/>
  <c r="L9" i="1" s="1"/>
  <c r="M10" i="1"/>
  <c r="L10" i="1" s="1"/>
  <c r="R19" i="1"/>
  <c r="Q18" i="3" l="1"/>
  <c r="S12" i="3"/>
  <c r="B12" i="3" s="1"/>
  <c r="S19" i="3"/>
  <c r="D12" i="3" s="1"/>
  <c r="Q19" i="3"/>
  <c r="Q17" i="3"/>
  <c r="K19" i="3"/>
  <c r="K17" i="3"/>
  <c r="S17" i="3"/>
  <c r="S10" i="3"/>
  <c r="Q15" i="2"/>
  <c r="Q17" i="2"/>
  <c r="Q16" i="2" s="1"/>
  <c r="Q7" i="2"/>
  <c r="Q6" i="2"/>
  <c r="M12" i="1"/>
  <c r="S19" i="1"/>
  <c r="T19" i="1" s="1"/>
  <c r="U19" i="1" s="1"/>
  <c r="R17" i="1"/>
  <c r="S17" i="1" s="1"/>
  <c r="R18" i="1"/>
  <c r="R20" i="1"/>
  <c r="S11" i="3" l="1"/>
  <c r="B15" i="3"/>
  <c r="S18" i="3"/>
  <c r="B13" i="2"/>
  <c r="L12" i="1"/>
  <c r="L14" i="1" s="1"/>
  <c r="S20" i="1"/>
  <c r="T20" i="1" s="1"/>
  <c r="U20" i="1" s="1"/>
  <c r="S18" i="1"/>
  <c r="T18" i="1" s="1"/>
  <c r="U18" i="1" s="1"/>
  <c r="T17" i="1"/>
  <c r="U17" i="1" s="1"/>
  <c r="L15" i="1" l="1"/>
  <c r="M15" i="1" s="1"/>
  <c r="L16" i="1" l="1"/>
  <c r="L17" i="1" s="1"/>
  <c r="L18" i="1" s="1"/>
  <c r="L20" i="1" s="1"/>
  <c r="D11" i="1" s="1"/>
</calcChain>
</file>

<file path=xl/sharedStrings.xml><?xml version="1.0" encoding="utf-8"?>
<sst xmlns="http://schemas.openxmlformats.org/spreadsheetml/2006/main" count="124" uniqueCount="64">
  <si>
    <t>水量</t>
    <rPh sb="0" eb="2">
      <t>スイリョウ</t>
    </rPh>
    <phoneticPr fontId="2"/>
  </si>
  <si>
    <t>下水道料金</t>
    <rPh sb="0" eb="3">
      <t>ゲスイドウ</t>
    </rPh>
    <rPh sb="3" eb="5">
      <t>リョウキン</t>
    </rPh>
    <phoneticPr fontId="2"/>
  </si>
  <si>
    <t>消費税</t>
    <rPh sb="0" eb="3">
      <t>ショウヒゼイ</t>
    </rPh>
    <phoneticPr fontId="2"/>
  </si>
  <si>
    <t>使用料金</t>
    <rPh sb="0" eb="2">
      <t>シヨウ</t>
    </rPh>
    <rPh sb="2" eb="4">
      <t>リョウキン</t>
    </rPh>
    <phoneticPr fontId="3"/>
  </si>
  <si>
    <t>使用水量</t>
    <rPh sb="0" eb="2">
      <t>シヨウ</t>
    </rPh>
    <rPh sb="2" eb="4">
      <t>スイリョウ</t>
    </rPh>
    <phoneticPr fontId="3"/>
  </si>
  <si>
    <t>1001以上</t>
    <rPh sb="4" eb="6">
      <t>イジョウ</t>
    </rPh>
    <phoneticPr fontId="3"/>
  </si>
  <si>
    <t>1000迄</t>
    <rPh sb="4" eb="5">
      <t>マデ</t>
    </rPh>
    <phoneticPr fontId="3"/>
  </si>
  <si>
    <t>水量</t>
    <rPh sb="0" eb="2">
      <t>スイリョウ</t>
    </rPh>
    <phoneticPr fontId="3"/>
  </si>
  <si>
    <t>料金</t>
    <rPh sb="0" eb="2">
      <t>リョウキン</t>
    </rPh>
    <phoneticPr fontId="3"/>
  </si>
  <si>
    <t>200迄</t>
    <rPh sb="3" eb="4">
      <t>マデ</t>
    </rPh>
    <phoneticPr fontId="3"/>
  </si>
  <si>
    <t>20↓</t>
    <phoneticPr fontId="3"/>
  </si>
  <si>
    <t>100迄</t>
    <rPh sb="3" eb="4">
      <t>マデ</t>
    </rPh>
    <phoneticPr fontId="3"/>
  </si>
  <si>
    <t>21-100</t>
    <phoneticPr fontId="3"/>
  </si>
  <si>
    <t>20迄</t>
    <rPh sb="2" eb="3">
      <t>マデ</t>
    </rPh>
    <phoneticPr fontId="3"/>
  </si>
  <si>
    <t>101-200</t>
    <phoneticPr fontId="3"/>
  </si>
  <si>
    <t>201-1000</t>
    <phoneticPr fontId="3"/>
  </si>
  <si>
    <t>計</t>
    <rPh sb="0" eb="1">
      <t>ケイ</t>
    </rPh>
    <phoneticPr fontId="3"/>
  </si>
  <si>
    <t>10円未満</t>
    <rPh sb="2" eb="3">
      <t>エン</t>
    </rPh>
    <rPh sb="3" eb="5">
      <t>ミマン</t>
    </rPh>
    <phoneticPr fontId="3"/>
  </si>
  <si>
    <t>端数処理</t>
    <rPh sb="0" eb="2">
      <t>ハスウ</t>
    </rPh>
    <rPh sb="2" eb="4">
      <t>ショリ</t>
    </rPh>
    <phoneticPr fontId="3"/>
  </si>
  <si>
    <t>端数処理後</t>
    <rPh sb="0" eb="2">
      <t>ハスウ</t>
    </rPh>
    <rPh sb="2" eb="4">
      <t>ショリ</t>
    </rPh>
    <rPh sb="4" eb="5">
      <t>ゴ</t>
    </rPh>
    <phoneticPr fontId="3"/>
  </si>
  <si>
    <t>消費税</t>
    <rPh sb="0" eb="3">
      <t>ショウヒゼイ</t>
    </rPh>
    <phoneticPr fontId="3"/>
  </si>
  <si>
    <t>税込合計</t>
    <rPh sb="0" eb="2">
      <t>ゼイコ</t>
    </rPh>
    <rPh sb="2" eb="4">
      <t>ゴウケイ</t>
    </rPh>
    <phoneticPr fontId="3"/>
  </si>
  <si>
    <t>10円未満の端数</t>
    <rPh sb="2" eb="3">
      <t>エン</t>
    </rPh>
    <rPh sb="3" eb="5">
      <t>ミマン</t>
    </rPh>
    <rPh sb="6" eb="8">
      <t>ハスウ</t>
    </rPh>
    <phoneticPr fontId="3"/>
  </si>
  <si>
    <t>端数計算後</t>
    <rPh sb="0" eb="2">
      <t>ハスウ</t>
    </rPh>
    <rPh sb="2" eb="4">
      <t>ケイサン</t>
    </rPh>
    <rPh sb="4" eb="5">
      <t>ゴ</t>
    </rPh>
    <phoneticPr fontId="3"/>
  </si>
  <si>
    <t>下水料金</t>
    <rPh sb="0" eb="2">
      <t>ゲスイ</t>
    </rPh>
    <rPh sb="2" eb="4">
      <t>リョウキン</t>
    </rPh>
    <phoneticPr fontId="3"/>
  </si>
  <si>
    <t>㎥／２ヵ月</t>
    <rPh sb="4" eb="5">
      <t>ゲツ</t>
    </rPh>
    <phoneticPr fontId="2"/>
  </si>
  <si>
    <t>円（税込）</t>
    <rPh sb="0" eb="1">
      <t>エン</t>
    </rPh>
    <rPh sb="2" eb="4">
      <t>ゼイコミ</t>
    </rPh>
    <phoneticPr fontId="2"/>
  </si>
  <si>
    <t>用途：一般用</t>
    <rPh sb="0" eb="2">
      <t>ヨウト</t>
    </rPh>
    <rPh sb="3" eb="6">
      <t>イッパンヨウ</t>
    </rPh>
    <phoneticPr fontId="2"/>
  </si>
  <si>
    <t>↑こちらを入力</t>
    <rPh sb="5" eb="7">
      <t>ニュウリョク</t>
    </rPh>
    <phoneticPr fontId="2"/>
  </si>
  <si>
    <t>〇 普段の水量は検針票や納付書でご確認下さい。</t>
    <rPh sb="2" eb="4">
      <t>フダン</t>
    </rPh>
    <rPh sb="5" eb="7">
      <t>スイリョウ</t>
    </rPh>
    <rPh sb="8" eb="11">
      <t>ケンシンヒョウ</t>
    </rPh>
    <rPh sb="12" eb="15">
      <t>ノウフショ</t>
    </rPh>
    <rPh sb="17" eb="19">
      <t>カクニン</t>
    </rPh>
    <rPh sb="19" eb="20">
      <t>クダ</t>
    </rPh>
    <phoneticPr fontId="2"/>
  </si>
  <si>
    <t>〇 水道料金とは別料金となります。</t>
    <rPh sb="2" eb="4">
      <t>スイドウ</t>
    </rPh>
    <rPh sb="4" eb="6">
      <t>リョウキン</t>
    </rPh>
    <rPh sb="8" eb="11">
      <t>ベツリョウキン</t>
    </rPh>
    <phoneticPr fontId="2"/>
  </si>
  <si>
    <t>〇 請求は２か月に一度です。</t>
    <rPh sb="2" eb="4">
      <t>セイキュウ</t>
    </rPh>
    <rPh sb="7" eb="8">
      <t>ゲツ</t>
    </rPh>
    <rPh sb="9" eb="11">
      <t>イチド</t>
    </rPh>
    <phoneticPr fontId="2"/>
  </si>
  <si>
    <r>
      <t>1001</t>
    </r>
    <r>
      <rPr>
        <sz val="10"/>
        <rFont val="ＭＳ Ｐゴシック"/>
        <family val="3"/>
        <charset val="128"/>
      </rPr>
      <t>↑</t>
    </r>
    <phoneticPr fontId="3"/>
  </si>
  <si>
    <t>2か月</t>
    <rPh sb="2" eb="3">
      <t>ゲツ</t>
    </rPh>
    <phoneticPr fontId="2"/>
  </si>
  <si>
    <t>1か月</t>
    <rPh sb="2" eb="3">
      <t>ゲツ</t>
    </rPh>
    <phoneticPr fontId="2"/>
  </si>
  <si>
    <t>0.5か月</t>
    <rPh sb="4" eb="5">
      <t>ゲツ</t>
    </rPh>
    <phoneticPr fontId="2"/>
  </si>
  <si>
    <t>1.5か月</t>
    <rPh sb="4" eb="5">
      <t>ゲツ</t>
    </rPh>
    <phoneticPr fontId="2"/>
  </si>
  <si>
    <t>0-20</t>
    <phoneticPr fontId="2"/>
  </si>
  <si>
    <t>21-100</t>
    <phoneticPr fontId="2"/>
  </si>
  <si>
    <t>101-200</t>
    <phoneticPr fontId="2"/>
  </si>
  <si>
    <t>201-1000</t>
    <phoneticPr fontId="2"/>
  </si>
  <si>
    <t>1001-</t>
    <phoneticPr fontId="2"/>
  </si>
  <si>
    <t>使用料</t>
    <rPh sb="0" eb="3">
      <t>シヨウリョウ</t>
    </rPh>
    <phoneticPr fontId="2"/>
  </si>
  <si>
    <t>水道料金</t>
    <rPh sb="0" eb="2">
      <t>スイドウ</t>
    </rPh>
    <rPh sb="2" eb="4">
      <t>リョウキン</t>
    </rPh>
    <phoneticPr fontId="2"/>
  </si>
  <si>
    <t>口径</t>
    <rPh sb="0" eb="2">
      <t>コウケイ</t>
    </rPh>
    <phoneticPr fontId="2"/>
  </si>
  <si>
    <t>ｍｍ</t>
    <phoneticPr fontId="2"/>
  </si>
  <si>
    <t>〇 下水道料金とは別料金となります。</t>
    <rPh sb="2" eb="5">
      <t>ゲスイドウ</t>
    </rPh>
    <rPh sb="5" eb="7">
      <t>リョウキン</t>
    </rPh>
    <rPh sb="9" eb="12">
      <t>ベツリョウキン</t>
    </rPh>
    <phoneticPr fontId="2"/>
  </si>
  <si>
    <t>〇 使用期間によって金額が変動する場合があります。</t>
    <rPh sb="2" eb="6">
      <t>シヨウキカン</t>
    </rPh>
    <rPh sb="10" eb="12">
      <t>キンガク</t>
    </rPh>
    <rPh sb="13" eb="15">
      <t>ヘンドウ</t>
    </rPh>
    <rPh sb="17" eb="19">
      <t>バアイ</t>
    </rPh>
    <phoneticPr fontId="2"/>
  </si>
  <si>
    <t>この計算シートは使用期間【2か月】で計算しています。</t>
    <rPh sb="2" eb="4">
      <t>ケイサン</t>
    </rPh>
    <rPh sb="8" eb="12">
      <t>シヨウキカン</t>
    </rPh>
    <rPh sb="15" eb="16">
      <t>ゲツ</t>
    </rPh>
    <rPh sb="18" eb="20">
      <t>ケイサン</t>
    </rPh>
    <phoneticPr fontId="2"/>
  </si>
  <si>
    <t>基本料金</t>
    <rPh sb="0" eb="4">
      <t>キホンリョウキン</t>
    </rPh>
    <phoneticPr fontId="2"/>
  </si>
  <si>
    <t>超過料金</t>
    <rPh sb="0" eb="4">
      <t>チョウカリョウキン</t>
    </rPh>
    <phoneticPr fontId="2"/>
  </si>
  <si>
    <t>合計</t>
    <rPh sb="0" eb="2">
      <t>ゴウケイ</t>
    </rPh>
    <phoneticPr fontId="2"/>
  </si>
  <si>
    <t>税込</t>
    <rPh sb="0" eb="2">
      <t>ゼイコ</t>
    </rPh>
    <phoneticPr fontId="2"/>
  </si>
  <si>
    <t xml:space="preserve">  令和８年（2026年）6月検針分以降　計算シート</t>
    <phoneticPr fontId="2"/>
  </si>
  <si>
    <t>基本使用料</t>
    <rPh sb="0" eb="5">
      <t>キホンシヨウリョウ</t>
    </rPh>
    <phoneticPr fontId="2"/>
  </si>
  <si>
    <t>超過料金単価</t>
    <rPh sb="0" eb="4">
      <t>チョウカリョウキン</t>
    </rPh>
    <rPh sb="4" eb="6">
      <t>タンカ</t>
    </rPh>
    <phoneticPr fontId="2"/>
  </si>
  <si>
    <t>上水</t>
    <rPh sb="0" eb="2">
      <t>ジョウスイ</t>
    </rPh>
    <phoneticPr fontId="2"/>
  </si>
  <si>
    <t>下水</t>
    <rPh sb="0" eb="2">
      <t>ゲスイ</t>
    </rPh>
    <phoneticPr fontId="2"/>
  </si>
  <si>
    <t>総合計</t>
    <rPh sb="0" eb="3">
      <t>ソウゴウケイ</t>
    </rPh>
    <phoneticPr fontId="2"/>
  </si>
  <si>
    <t>下水　有無</t>
    <rPh sb="0" eb="2">
      <t>ゲスイ</t>
    </rPh>
    <rPh sb="3" eb="5">
      <t>ウム</t>
    </rPh>
    <phoneticPr fontId="2"/>
  </si>
  <si>
    <t>㎥</t>
    <phoneticPr fontId="2"/>
  </si>
  <si>
    <t>あり</t>
  </si>
  <si>
    <t>2ヵ月（税抜）</t>
    <rPh sb="2" eb="3">
      <t>ゲツ</t>
    </rPh>
    <rPh sb="4" eb="7">
      <t>ゼイ</t>
    </rPh>
    <phoneticPr fontId="2"/>
  </si>
  <si>
    <t>下水道料金（新）</t>
    <rPh sb="0" eb="3">
      <t>ゲスイドウ</t>
    </rPh>
    <rPh sb="3" eb="5">
      <t>リョウキン</t>
    </rPh>
    <rPh sb="6" eb="7">
      <t>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</si>
</sst>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メイリオ"/>
      <family val="3"/>
      <charset val="128"/>
    </font>
    <font>
      <sz val="11"/>
      <name val="游ゴシック"/>
      <family val="2"/>
      <charset val="128"/>
      <scheme val="minor"/>
    </font>
    <font>
      <b/>
      <sz val="16"/>
      <name val="メイリオ"/>
      <family val="3"/>
      <charset val="128"/>
    </font>
    <font>
      <b/>
      <sz val="14"/>
      <name val="メイリオ"/>
      <family val="3"/>
      <charset val="128"/>
    </font>
    <font>
      <sz val="11"/>
      <name val="メイリオ"/>
      <family val="3"/>
      <charset val="128"/>
    </font>
    <font>
      <sz val="10"/>
      <name val="ＭＳ Ｐゴシック"/>
      <family val="3"/>
      <charset val="128"/>
    </font>
    <font>
      <b/>
      <sz val="18"/>
      <name val="Meiryo UI"/>
      <family val="3"/>
      <charset val="128"/>
    </font>
    <font>
      <sz val="11"/>
      <color theme="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38" fontId="4" fillId="0" borderId="0" xfId="1" applyFont="1" applyFill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38" fontId="6" fillId="3" borderId="1" xfId="1" applyFont="1" applyFill="1" applyBorder="1" applyAlignment="1" applyProtection="1">
      <alignment horizontal="center" vertical="center"/>
      <protection locked="0"/>
    </xf>
    <xf numFmtId="38" fontId="4" fillId="0" borderId="0" xfId="1" applyFont="1" applyFill="1">
      <alignment vertical="center"/>
    </xf>
    <xf numFmtId="0" fontId="6" fillId="0" borderId="0" xfId="0" applyFont="1">
      <alignment vertical="center"/>
    </xf>
    <xf numFmtId="38" fontId="6" fillId="4" borderId="0" xfId="0" applyNumberFormat="1" applyFont="1" applyFill="1" applyAlignment="1">
      <alignment horizontal="center" vertical="center"/>
    </xf>
    <xf numFmtId="0" fontId="7" fillId="0" borderId="0" xfId="0" applyFont="1" applyAlignment="1"/>
    <xf numFmtId="0" fontId="8" fillId="0" borderId="0" xfId="0" applyFont="1">
      <alignment vertical="center"/>
    </xf>
    <xf numFmtId="0" fontId="5" fillId="2" borderId="0" xfId="0" applyFont="1" applyFill="1" applyBorder="1" applyAlignment="1" applyProtection="1">
      <protection hidden="1"/>
    </xf>
    <xf numFmtId="9" fontId="5" fillId="2" borderId="0" xfId="2" applyFont="1" applyFill="1" applyBorder="1" applyAlignment="1" applyProtection="1">
      <protection hidden="1"/>
    </xf>
    <xf numFmtId="0" fontId="5" fillId="2" borderId="0" xfId="0" applyFont="1" applyFill="1" applyAlignment="1" applyProtection="1">
      <protection hidden="1"/>
    </xf>
    <xf numFmtId="38" fontId="5" fillId="2" borderId="0" xfId="1" applyFont="1" applyFill="1" applyBorder="1" applyAlignment="1" applyProtection="1">
      <protection hidden="1"/>
    </xf>
    <xf numFmtId="0" fontId="5" fillId="2" borderId="0" xfId="0" applyFont="1" applyFill="1" applyBorder="1" applyAlignment="1" applyProtection="1">
      <alignment horizontal="center"/>
      <protection hidden="1"/>
    </xf>
    <xf numFmtId="38" fontId="5" fillId="2" borderId="0" xfId="0" applyNumberFormat="1" applyFont="1" applyFill="1" applyBorder="1" applyAlignment="1" applyProtection="1">
      <protection hidden="1"/>
    </xf>
    <xf numFmtId="40" fontId="5" fillId="2" borderId="0" xfId="1" applyNumberFormat="1" applyFont="1" applyFill="1" applyBorder="1" applyAlignment="1" applyProtection="1">
      <protection hidden="1"/>
    </xf>
    <xf numFmtId="2" fontId="5" fillId="2" borderId="0" xfId="0" applyNumberFormat="1" applyFont="1" applyFill="1" applyBorder="1" applyAlignment="1" applyProtection="1">
      <protection hidden="1"/>
    </xf>
    <xf numFmtId="2" fontId="5" fillId="2" borderId="0" xfId="1" applyNumberFormat="1" applyFont="1" applyFill="1" applyBorder="1" applyAlignment="1" applyProtection="1">
      <protection hidden="1"/>
    </xf>
    <xf numFmtId="0" fontId="0" fillId="0" borderId="1" xfId="0" applyBorder="1">
      <alignment vertical="center"/>
    </xf>
    <xf numFmtId="38" fontId="6" fillId="4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0" fillId="0" borderId="2" xfId="0" applyBorder="1" applyAlignment="1">
      <alignment horizontal="center" vertical="center"/>
    </xf>
    <xf numFmtId="38" fontId="0" fillId="0" borderId="1" xfId="1" applyFont="1" applyBorder="1">
      <alignment vertical="center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38" fontId="4" fillId="0" borderId="0" xfId="1" applyFont="1" applyFill="1" applyBorder="1" applyAlignment="1">
      <alignment vertical="center"/>
    </xf>
    <xf numFmtId="0" fontId="7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11" fillId="0" borderId="0" xfId="0" applyFont="1" applyBorder="1">
      <alignment vertical="center"/>
    </xf>
    <xf numFmtId="0" fontId="10" fillId="0" borderId="0" xfId="0" applyFont="1" applyAlignment="1">
      <alignment horizontal="center" vertical="center" shrinkToFit="1"/>
    </xf>
    <xf numFmtId="0" fontId="0" fillId="0" borderId="0" xfId="0" applyAlignment="1">
      <alignment horizontal="righ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216776</xdr:colOff>
      <xdr:row>3</xdr:row>
      <xdr:rowOff>57149</xdr:rowOff>
    </xdr:from>
    <xdr:to>
      <xdr:col>5</xdr:col>
      <xdr:colOff>240195</xdr:colOff>
      <xdr:row>19</xdr:row>
      <xdr:rowOff>114300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7A45BFC7-0B9A-4BD8-9864-C39212510BDC}"/>
            </a:ext>
          </a:extLst>
        </xdr:cNvPr>
        <xdr:cNvSpPr/>
      </xdr:nvSpPr>
      <xdr:spPr>
        <a:xfrm>
          <a:off x="1588376" y="771524"/>
          <a:ext cx="4500169" cy="3867151"/>
        </a:xfrm>
        <a:prstGeom prst="roundRect">
          <a:avLst/>
        </a:prstGeom>
        <a:noFill/>
        <a:ln w="3810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437030</xdr:colOff>
      <xdr:row>4</xdr:row>
      <xdr:rowOff>22412</xdr:rowOff>
    </xdr:from>
    <xdr:to>
      <xdr:col>4</xdr:col>
      <xdr:colOff>599781</xdr:colOff>
      <xdr:row>5</xdr:row>
      <xdr:rowOff>224116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863E4229-C77A-47C4-BCFD-AF7ED9D59828}"/>
            </a:ext>
          </a:extLst>
        </xdr:cNvPr>
        <xdr:cNvSpPr/>
      </xdr:nvSpPr>
      <xdr:spPr>
        <a:xfrm>
          <a:off x="3541059" y="963706"/>
          <a:ext cx="846310" cy="437028"/>
        </a:xfrm>
        <a:prstGeom prst="roundRect">
          <a:avLst/>
        </a:prstGeom>
        <a:solidFill>
          <a:srgbClr val="66CCFF"/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水道</a:t>
          </a:r>
          <a:r>
            <a:rPr kumimoji="1" lang="en-US" altLang="ja-JP" sz="1800">
              <a:solidFill>
                <a:schemeClr val="bg1"/>
              </a:solidFill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216776</xdr:colOff>
      <xdr:row>2</xdr:row>
      <xdr:rowOff>142875</xdr:rowOff>
    </xdr:from>
    <xdr:to>
      <xdr:col>7</xdr:col>
      <xdr:colOff>240195</xdr:colOff>
      <xdr:row>15</xdr:row>
      <xdr:rowOff>144517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70208913-37A4-441B-B912-A06CD2E8D23E}"/>
            </a:ext>
          </a:extLst>
        </xdr:cNvPr>
        <xdr:cNvSpPr/>
      </xdr:nvSpPr>
      <xdr:spPr>
        <a:xfrm>
          <a:off x="1591689" y="383071"/>
          <a:ext cx="3758876" cy="3124185"/>
        </a:xfrm>
        <a:prstGeom prst="roundRect">
          <a:avLst/>
        </a:prstGeom>
        <a:noFill/>
        <a:ln w="3810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546651</xdr:colOff>
      <xdr:row>0</xdr:row>
      <xdr:rowOff>91108</xdr:rowOff>
    </xdr:from>
    <xdr:to>
      <xdr:col>8</xdr:col>
      <xdr:colOff>240195</xdr:colOff>
      <xdr:row>2</xdr:row>
      <xdr:rowOff>49696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E0175D6-6E47-4D33-9F30-2CA5BAE0C078}"/>
            </a:ext>
          </a:extLst>
        </xdr:cNvPr>
        <xdr:cNvSpPr txBox="1"/>
      </xdr:nvSpPr>
      <xdr:spPr>
        <a:xfrm>
          <a:off x="1234108" y="91108"/>
          <a:ext cx="5549348" cy="4389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 eaLnBrk="1" latinLnBrk="0" hangingPunct="1"/>
          <a:r>
            <a:rPr lang="ja-JP" altLang="ja-JP" sz="18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令和８年（</a:t>
          </a:r>
          <a:r>
            <a:rPr lang="en-US" altLang="ja-JP" sz="18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2026</a:t>
          </a:r>
          <a:r>
            <a:rPr lang="ja-JP" altLang="ja-JP" sz="18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年）</a:t>
          </a:r>
          <a:r>
            <a:rPr lang="en-US" altLang="ja-JP" sz="18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6</a:t>
          </a:r>
          <a:r>
            <a:rPr lang="ja-JP" altLang="ja-JP" sz="18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月検針分</a:t>
          </a:r>
          <a:r>
            <a:rPr lang="ja-JP" altLang="en-US" sz="18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以降　計算シート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216776</xdr:colOff>
      <xdr:row>2</xdr:row>
      <xdr:rowOff>145677</xdr:rowOff>
    </xdr:from>
    <xdr:to>
      <xdr:col>4</xdr:col>
      <xdr:colOff>1019736</xdr:colOff>
      <xdr:row>21</xdr:row>
      <xdr:rowOff>156882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81303304-F3A0-4BB5-820E-095A3107BBD7}"/>
            </a:ext>
          </a:extLst>
        </xdr:cNvPr>
        <xdr:cNvSpPr/>
      </xdr:nvSpPr>
      <xdr:spPr>
        <a:xfrm>
          <a:off x="216776" y="616324"/>
          <a:ext cx="5049989" cy="4997823"/>
        </a:xfrm>
        <a:prstGeom prst="roundRect">
          <a:avLst/>
        </a:prstGeom>
        <a:noFill/>
        <a:ln w="3810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5196D-3D4F-4AF6-A69E-D0014E126B9A}">
  <dimension ref="A1:Q21"/>
  <sheetViews>
    <sheetView workbookViewId="0">
      <selection activeCell="Y9" sqref="Y9"/>
    </sheetView>
  </sheetViews>
  <sheetFormatPr defaultRowHeight="18.75" x14ac:dyDescent="0.4"/>
  <cols>
    <col min="2" max="2" width="20.75" customWidth="1"/>
    <col min="3" max="3" width="11" bestFit="1" customWidth="1"/>
    <col min="8" max="8" width="9" style="22"/>
    <col min="10" max="17" width="9" customWidth="1"/>
  </cols>
  <sheetData>
    <row r="1" spans="1:17" x14ac:dyDescent="0.4">
      <c r="A1" s="37" t="s">
        <v>53</v>
      </c>
      <c r="B1" s="37"/>
      <c r="C1" s="37"/>
      <c r="D1" s="37"/>
      <c r="E1" s="37"/>
      <c r="F1" s="37"/>
      <c r="G1" s="3"/>
    </row>
    <row r="2" spans="1:17" x14ac:dyDescent="0.4">
      <c r="A2" s="37"/>
      <c r="B2" s="37"/>
      <c r="C2" s="37"/>
      <c r="D2" s="37"/>
      <c r="E2" s="37"/>
      <c r="F2" s="37"/>
      <c r="G2" s="3"/>
    </row>
    <row r="3" spans="1:17" x14ac:dyDescent="0.4">
      <c r="A3" s="37"/>
      <c r="B3" s="37"/>
      <c r="C3" s="37"/>
      <c r="D3" s="37"/>
      <c r="E3" s="37"/>
      <c r="F3" s="37"/>
      <c r="G3" s="3"/>
    </row>
    <row r="4" spans="1:17" ht="18.75" customHeight="1" x14ac:dyDescent="0.4">
      <c r="A4" s="3"/>
      <c r="B4" s="2"/>
      <c r="C4" s="2"/>
      <c r="D4" s="2"/>
      <c r="E4" s="3"/>
      <c r="F4" s="3"/>
      <c r="G4" s="3"/>
      <c r="H4" s="27" t="s">
        <v>54</v>
      </c>
      <c r="I4" s="28" t="s">
        <v>33</v>
      </c>
      <c r="J4" s="20" t="s">
        <v>36</v>
      </c>
      <c r="K4" s="20" t="s">
        <v>34</v>
      </c>
      <c r="L4" s="20" t="s">
        <v>35</v>
      </c>
    </row>
    <row r="5" spans="1:17" ht="18.75" customHeight="1" x14ac:dyDescent="0.4">
      <c r="A5" s="3"/>
      <c r="B5" s="2" t="s">
        <v>27</v>
      </c>
      <c r="D5" s="2"/>
      <c r="E5" s="3"/>
      <c r="F5" s="3"/>
      <c r="G5" s="3"/>
      <c r="H5" s="28">
        <v>13</v>
      </c>
      <c r="I5" s="25">
        <v>1420</v>
      </c>
      <c r="J5" s="25">
        <f t="shared" ref="J5:J12" si="0">+I5*3/4</f>
        <v>1065</v>
      </c>
      <c r="K5" s="25">
        <f t="shared" ref="K5:K12" si="1">+I5/2</f>
        <v>710</v>
      </c>
      <c r="L5" s="25">
        <f t="shared" ref="L5:L12" si="2">+K5/2</f>
        <v>355</v>
      </c>
      <c r="P5">
        <f>+I17*80</f>
        <v>5440</v>
      </c>
      <c r="Q5">
        <f>SUM($P$5:P5)</f>
        <v>5440</v>
      </c>
    </row>
    <row r="6" spans="1:17" ht="18.75" customHeight="1" x14ac:dyDescent="0.4">
      <c r="A6" s="3"/>
      <c r="B6" s="2" t="s">
        <v>44</v>
      </c>
      <c r="C6" s="2"/>
      <c r="D6" s="2"/>
      <c r="E6" s="3"/>
      <c r="F6" s="3"/>
      <c r="G6" s="3"/>
      <c r="H6" s="28">
        <v>20</v>
      </c>
      <c r="I6" s="25">
        <v>2140</v>
      </c>
      <c r="J6" s="25">
        <f t="shared" si="0"/>
        <v>1605</v>
      </c>
      <c r="K6" s="25">
        <f t="shared" si="1"/>
        <v>1070</v>
      </c>
      <c r="L6" s="25">
        <f t="shared" si="2"/>
        <v>535</v>
      </c>
      <c r="P6">
        <f>+I18*100</f>
        <v>8600</v>
      </c>
      <c r="Q6">
        <f>SUM($P$5:P6)</f>
        <v>14040</v>
      </c>
    </row>
    <row r="7" spans="1:17" ht="18.75" customHeight="1" x14ac:dyDescent="0.4">
      <c r="A7" s="3"/>
      <c r="B7" s="5">
        <v>13</v>
      </c>
      <c r="C7" s="2" t="s">
        <v>45</v>
      </c>
      <c r="D7" s="2"/>
      <c r="E7" s="3"/>
      <c r="F7" s="3"/>
      <c r="G7" s="3"/>
      <c r="H7" s="28">
        <v>25</v>
      </c>
      <c r="I7" s="25">
        <v>2680</v>
      </c>
      <c r="J7" s="25">
        <f t="shared" si="0"/>
        <v>2010</v>
      </c>
      <c r="K7" s="25">
        <f t="shared" si="1"/>
        <v>1340</v>
      </c>
      <c r="L7" s="25">
        <f t="shared" si="2"/>
        <v>670</v>
      </c>
      <c r="P7">
        <f>+I19*800</f>
        <v>97600</v>
      </c>
      <c r="Q7">
        <f>SUM($P$5:P7)</f>
        <v>111640</v>
      </c>
    </row>
    <row r="8" spans="1:17" ht="18.75" customHeight="1" x14ac:dyDescent="0.4">
      <c r="A8" s="3"/>
      <c r="B8" s="1" t="s">
        <v>28</v>
      </c>
      <c r="C8" s="2"/>
      <c r="D8" s="2"/>
      <c r="E8" s="3"/>
      <c r="F8" s="3"/>
      <c r="G8" s="3"/>
      <c r="H8" s="28">
        <v>30</v>
      </c>
      <c r="I8" s="25">
        <v>4360</v>
      </c>
      <c r="J8" s="25">
        <f t="shared" si="0"/>
        <v>3270</v>
      </c>
      <c r="K8" s="25">
        <f t="shared" si="1"/>
        <v>2180</v>
      </c>
      <c r="L8" s="25">
        <f t="shared" si="2"/>
        <v>1090</v>
      </c>
    </row>
    <row r="9" spans="1:17" ht="18.75" customHeight="1" x14ac:dyDescent="0.4">
      <c r="A9" s="3"/>
      <c r="B9" s="2" t="s">
        <v>0</v>
      </c>
      <c r="C9" s="2"/>
      <c r="D9" s="2"/>
      <c r="E9" s="3"/>
      <c r="F9" s="3"/>
      <c r="G9" s="4"/>
      <c r="H9" s="28">
        <v>40</v>
      </c>
      <c r="I9" s="25">
        <v>5400</v>
      </c>
      <c r="J9" s="25">
        <f t="shared" si="0"/>
        <v>4050</v>
      </c>
      <c r="K9" s="25">
        <f t="shared" si="1"/>
        <v>2700</v>
      </c>
      <c r="L9" s="25">
        <f t="shared" si="2"/>
        <v>1350</v>
      </c>
    </row>
    <row r="10" spans="1:17" ht="18.75" customHeight="1" x14ac:dyDescent="0.4">
      <c r="A10" s="3"/>
      <c r="B10" s="5">
        <v>25</v>
      </c>
      <c r="C10" s="2" t="s">
        <v>25</v>
      </c>
      <c r="D10" s="2"/>
      <c r="E10" s="3"/>
      <c r="F10" s="3"/>
      <c r="G10" s="3"/>
      <c r="H10" s="28">
        <v>50</v>
      </c>
      <c r="I10" s="25">
        <v>12500</v>
      </c>
      <c r="J10" s="25">
        <f t="shared" si="0"/>
        <v>9375</v>
      </c>
      <c r="K10" s="25">
        <f t="shared" si="1"/>
        <v>6250</v>
      </c>
      <c r="L10" s="25">
        <f t="shared" si="2"/>
        <v>3125</v>
      </c>
    </row>
    <row r="11" spans="1:17" ht="18.75" customHeight="1" x14ac:dyDescent="0.4">
      <c r="A11" s="3"/>
      <c r="B11" s="1" t="s">
        <v>28</v>
      </c>
      <c r="C11" s="2"/>
      <c r="D11" s="2"/>
      <c r="E11" s="3"/>
      <c r="F11" s="3"/>
      <c r="G11" s="3"/>
      <c r="H11" s="28">
        <v>75</v>
      </c>
      <c r="I11" s="25">
        <v>23280</v>
      </c>
      <c r="J11" s="25">
        <f t="shared" si="0"/>
        <v>17460</v>
      </c>
      <c r="K11" s="25">
        <f t="shared" si="1"/>
        <v>11640</v>
      </c>
      <c r="L11" s="25">
        <f t="shared" si="2"/>
        <v>5820</v>
      </c>
    </row>
    <row r="12" spans="1:17" ht="18.75" customHeight="1" x14ac:dyDescent="0.4">
      <c r="A12" s="3"/>
      <c r="B12" s="7" t="s">
        <v>43</v>
      </c>
      <c r="C12" s="7"/>
      <c r="D12" s="2"/>
      <c r="E12" s="3"/>
      <c r="F12" s="3"/>
      <c r="G12" s="3"/>
      <c r="H12" s="28">
        <v>100</v>
      </c>
      <c r="I12" s="25">
        <v>40120</v>
      </c>
      <c r="J12" s="25">
        <f t="shared" si="0"/>
        <v>30090</v>
      </c>
      <c r="K12" s="25">
        <f t="shared" si="1"/>
        <v>20060</v>
      </c>
      <c r="L12" s="25">
        <f t="shared" si="2"/>
        <v>10030</v>
      </c>
    </row>
    <row r="13" spans="1:17" ht="18.75" customHeight="1" x14ac:dyDescent="0.5">
      <c r="A13" s="3"/>
      <c r="B13" s="21">
        <f>Q17</f>
        <v>1935</v>
      </c>
      <c r="C13" s="9" t="s">
        <v>26</v>
      </c>
      <c r="D13" s="2"/>
      <c r="E13" s="3"/>
      <c r="F13" s="3"/>
      <c r="G13" s="3"/>
      <c r="P13" s="22" t="s">
        <v>49</v>
      </c>
      <c r="Q13">
        <f>VLOOKUP($B$7,$H$4:$I$12,2)</f>
        <v>1420</v>
      </c>
    </row>
    <row r="14" spans="1:17" ht="18.75" customHeight="1" x14ac:dyDescent="0.4">
      <c r="A14" s="3"/>
      <c r="B14" s="2"/>
      <c r="C14" s="2"/>
      <c r="D14" s="2"/>
      <c r="E14" s="3"/>
      <c r="F14" s="3"/>
      <c r="G14" s="3"/>
      <c r="P14" s="22" t="s">
        <v>50</v>
      </c>
      <c r="Q14">
        <f xml:space="preserve">
IF(B10&lt;=20,0,
IF(B10&lt;100,(B10-20)*I17,
IF(B10&lt;200,(B10-100)*I18+Q5,
IF(B10&lt;1000,(B10-200)*I19+Q6,
(B10-1000)*I20+Q7))))</f>
        <v>340</v>
      </c>
    </row>
    <row r="15" spans="1:17" ht="18.75" customHeight="1" x14ac:dyDescent="0.4">
      <c r="A15" s="3"/>
      <c r="B15" s="2" t="s">
        <v>29</v>
      </c>
      <c r="C15" s="2"/>
      <c r="D15" s="2"/>
      <c r="E15" s="3"/>
      <c r="F15" s="3"/>
      <c r="G15" s="3"/>
      <c r="H15" s="28" t="s">
        <v>42</v>
      </c>
      <c r="I15" s="26" t="s">
        <v>55</v>
      </c>
      <c r="P15" s="22" t="s">
        <v>51</v>
      </c>
      <c r="Q15">
        <f>SUM(Q13:Q14)</f>
        <v>1760</v>
      </c>
    </row>
    <row r="16" spans="1:17" ht="18.75" customHeight="1" thickBot="1" x14ac:dyDescent="0.45">
      <c r="A16" s="3"/>
      <c r="B16" s="2" t="s">
        <v>46</v>
      </c>
      <c r="C16" s="2"/>
      <c r="D16" s="2"/>
      <c r="E16" s="3"/>
      <c r="F16" s="3"/>
      <c r="G16" s="3"/>
      <c r="H16" s="28" t="s">
        <v>37</v>
      </c>
      <c r="I16" s="25">
        <v>0</v>
      </c>
      <c r="P16" s="22" t="s">
        <v>2</v>
      </c>
      <c r="Q16">
        <f>+Q17-Q15</f>
        <v>175</v>
      </c>
    </row>
    <row r="17" spans="1:17" ht="18.75" customHeight="1" thickBot="1" x14ac:dyDescent="0.45">
      <c r="A17" s="3"/>
      <c r="B17" s="2" t="s">
        <v>31</v>
      </c>
      <c r="C17" s="10"/>
      <c r="D17" s="10"/>
      <c r="E17" s="3"/>
      <c r="F17" s="3"/>
      <c r="G17" s="3"/>
      <c r="H17" s="28" t="s">
        <v>38</v>
      </c>
      <c r="I17" s="25">
        <v>68</v>
      </c>
      <c r="P17" s="24" t="s">
        <v>52</v>
      </c>
      <c r="Q17" s="23">
        <f>ROUNDDOWN((Q13+Q14)*1.1*2,-1)/2</f>
        <v>1935</v>
      </c>
    </row>
    <row r="18" spans="1:17" ht="18.75" customHeight="1" x14ac:dyDescent="0.4">
      <c r="A18" s="3"/>
      <c r="B18" s="2" t="s">
        <v>47</v>
      </c>
      <c r="C18" s="3"/>
      <c r="D18" s="3"/>
      <c r="E18" s="3"/>
      <c r="F18" s="3"/>
      <c r="G18" s="3"/>
      <c r="H18" s="28" t="s">
        <v>39</v>
      </c>
      <c r="I18" s="25">
        <v>86</v>
      </c>
    </row>
    <row r="19" spans="1:17" x14ac:dyDescent="0.4">
      <c r="A19" s="3"/>
      <c r="B19" s="2" t="s">
        <v>48</v>
      </c>
      <c r="C19" s="3"/>
      <c r="D19" s="3"/>
      <c r="E19" s="3"/>
      <c r="F19" s="3"/>
      <c r="G19" s="3"/>
      <c r="H19" s="28" t="s">
        <v>40</v>
      </c>
      <c r="I19" s="25">
        <v>122</v>
      </c>
    </row>
    <row r="20" spans="1:17" x14ac:dyDescent="0.4">
      <c r="A20" s="3"/>
      <c r="B20" s="3"/>
      <c r="C20" s="3"/>
      <c r="D20" s="3"/>
      <c r="E20" s="3"/>
      <c r="F20" s="3"/>
      <c r="G20" s="3"/>
      <c r="H20" s="28" t="s">
        <v>41</v>
      </c>
      <c r="I20" s="25">
        <v>141</v>
      </c>
    </row>
    <row r="21" spans="1:17" x14ac:dyDescent="0.4">
      <c r="A21" s="3"/>
      <c r="B21" s="3"/>
      <c r="C21" s="3"/>
      <c r="D21" s="3"/>
      <c r="E21" s="3"/>
      <c r="F21" s="3"/>
      <c r="G21" s="3"/>
    </row>
  </sheetData>
  <protectedRanges>
    <protectedRange sqref="B10 B7" name="範囲1_1"/>
  </protectedRanges>
  <mergeCells count="1">
    <mergeCell ref="A1:F3"/>
  </mergeCells>
  <phoneticPr fontId="2"/>
  <dataValidations count="1">
    <dataValidation type="list" allowBlank="1" showInputMessage="1" showErrorMessage="1" sqref="B7" xr:uid="{6A645672-19BD-478E-B836-41CF6CE46698}">
      <formula1>$H$5:$H$12</formula1>
    </dataValidation>
  </dataValidations>
  <pageMargins left="0.7" right="0.7" top="0.75" bottom="0.75" header="0.3" footer="0.3"/>
  <pageSetup paperSize="9" scale="85" orientation="portrait" r:id="rId1"/>
  <colBreaks count="1" manualBreakCount="1">
    <brk id="9" max="1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E8557-CE72-4B81-B0DD-47A4E2EEDC16}">
  <dimension ref="D4:U23"/>
  <sheetViews>
    <sheetView showGridLines="0" zoomScale="85" zoomScaleNormal="85" workbookViewId="0">
      <selection activeCell="Y9" sqref="Y9"/>
    </sheetView>
  </sheetViews>
  <sheetFormatPr defaultRowHeight="18.75" x14ac:dyDescent="0.4"/>
  <cols>
    <col min="1" max="3" width="9" style="3"/>
    <col min="4" max="4" width="20.75" style="3" customWidth="1"/>
    <col min="5" max="5" width="11" style="3" bestFit="1" customWidth="1"/>
    <col min="6" max="10" width="9" style="3"/>
    <col min="11" max="11" width="15.25" style="4" bestFit="1" customWidth="1"/>
    <col min="12" max="12" width="12.25" style="4" bestFit="1" customWidth="1"/>
    <col min="13" max="18" width="9" style="4"/>
    <col min="19" max="16384" width="9" style="3"/>
  </cols>
  <sheetData>
    <row r="4" spans="4:21" x14ac:dyDescent="0.4">
      <c r="D4" s="2" t="s">
        <v>27</v>
      </c>
      <c r="E4" s="2"/>
      <c r="F4" s="2"/>
    </row>
    <row r="5" spans="4:21" x14ac:dyDescent="0.4">
      <c r="D5" s="2"/>
      <c r="E5" s="2"/>
      <c r="F5" s="2"/>
    </row>
    <row r="6" spans="4:21" x14ac:dyDescent="0.4">
      <c r="D6" s="2" t="s">
        <v>0</v>
      </c>
      <c r="E6" s="2"/>
      <c r="F6" s="2"/>
      <c r="K6" s="11"/>
      <c r="L6" s="11" t="s">
        <v>3</v>
      </c>
      <c r="M6" s="11" t="s">
        <v>4</v>
      </c>
      <c r="N6" s="11"/>
      <c r="O6" s="11"/>
      <c r="P6" s="11"/>
      <c r="Q6" s="11" t="s">
        <v>2</v>
      </c>
      <c r="R6" s="12">
        <v>0.1</v>
      </c>
      <c r="S6" s="13"/>
      <c r="T6" s="13"/>
      <c r="U6" s="13"/>
    </row>
    <row r="7" spans="4:21" ht="24.75" x14ac:dyDescent="0.4">
      <c r="D7" s="5">
        <v>0</v>
      </c>
      <c r="E7" s="2" t="s">
        <v>25</v>
      </c>
      <c r="F7" s="2"/>
      <c r="K7" s="11" t="s">
        <v>5</v>
      </c>
      <c r="L7" s="14">
        <f>R13*M7</f>
        <v>0</v>
      </c>
      <c r="M7" s="11">
        <f>IF($D$7&gt;1000,$D$7-1000,0)</f>
        <v>0</v>
      </c>
      <c r="N7" s="11"/>
      <c r="O7" s="11"/>
      <c r="P7" s="11"/>
      <c r="Q7" s="11"/>
      <c r="R7" s="11"/>
      <c r="S7" s="13"/>
      <c r="T7" s="13"/>
      <c r="U7" s="13"/>
    </row>
    <row r="8" spans="4:21" x14ac:dyDescent="0.4">
      <c r="D8" s="1" t="s">
        <v>28</v>
      </c>
      <c r="E8" s="2"/>
      <c r="F8" s="2"/>
      <c r="K8" s="11" t="s">
        <v>6</v>
      </c>
      <c r="L8" s="14">
        <f>R12*M8</f>
        <v>0</v>
      </c>
      <c r="M8" s="11">
        <f>IF($D$7&gt;1000,800,IF(AND($D$7&lt;=1000,$D$7&gt;200),$D$7-200,0))</f>
        <v>0</v>
      </c>
      <c r="N8" s="11"/>
      <c r="O8" s="11"/>
      <c r="P8" s="11"/>
      <c r="Q8" s="15" t="s">
        <v>7</v>
      </c>
      <c r="R8" s="15" t="s">
        <v>8</v>
      </c>
      <c r="S8" s="13"/>
      <c r="T8" s="13"/>
      <c r="U8" s="13"/>
    </row>
    <row r="9" spans="4:21" x14ac:dyDescent="0.4">
      <c r="D9" s="6"/>
      <c r="E9" s="2"/>
      <c r="F9" s="2"/>
      <c r="K9" s="11" t="s">
        <v>9</v>
      </c>
      <c r="L9" s="14">
        <f>R11*M9</f>
        <v>0</v>
      </c>
      <c r="M9" s="11">
        <f>IF($D$7&gt;200,100,IF(AND($D$7&lt;=200,$D$7&gt;100),$D$7-100,0))</f>
        <v>0</v>
      </c>
      <c r="N9" s="11"/>
      <c r="O9" s="11"/>
      <c r="P9" s="11"/>
      <c r="Q9" s="15" t="s">
        <v>10</v>
      </c>
      <c r="R9" s="14">
        <v>1650</v>
      </c>
      <c r="S9" s="13"/>
      <c r="T9" s="13"/>
      <c r="U9" s="13"/>
    </row>
    <row r="10" spans="4:21" ht="24.75" x14ac:dyDescent="0.4">
      <c r="D10" s="7" t="s">
        <v>1</v>
      </c>
      <c r="E10" s="7"/>
      <c r="F10" s="2"/>
      <c r="I10" s="4"/>
      <c r="K10" s="11" t="s">
        <v>11</v>
      </c>
      <c r="L10" s="14">
        <f>R10*M10</f>
        <v>0</v>
      </c>
      <c r="M10" s="11">
        <f>IF($D$7&gt;100,80,IF(AND($D$7&lt;=100,$D$7&gt;20),$D$7-20,0))</f>
        <v>0</v>
      </c>
      <c r="N10" s="11"/>
      <c r="O10" s="11"/>
      <c r="P10" s="11"/>
      <c r="Q10" s="15" t="s">
        <v>12</v>
      </c>
      <c r="R10" s="14">
        <v>85</v>
      </c>
      <c r="S10" s="13"/>
      <c r="T10" s="13"/>
      <c r="U10" s="13"/>
    </row>
    <row r="11" spans="4:21" ht="24.75" x14ac:dyDescent="0.5">
      <c r="D11" s="8">
        <f>L20</f>
        <v>1815</v>
      </c>
      <c r="E11" s="9" t="s">
        <v>26</v>
      </c>
      <c r="F11" s="2"/>
      <c r="K11" s="11" t="s">
        <v>13</v>
      </c>
      <c r="L11" s="14">
        <v>1650</v>
      </c>
      <c r="M11" s="11"/>
      <c r="N11" s="11"/>
      <c r="O11" s="11"/>
      <c r="P11" s="11"/>
      <c r="Q11" s="15" t="s">
        <v>14</v>
      </c>
      <c r="R11" s="14">
        <v>112</v>
      </c>
      <c r="S11" s="13"/>
      <c r="T11" s="13"/>
      <c r="U11" s="13"/>
    </row>
    <row r="12" spans="4:21" x14ac:dyDescent="0.4">
      <c r="D12" s="2"/>
      <c r="E12" s="2"/>
      <c r="F12" s="2"/>
      <c r="K12" s="11" t="s">
        <v>16</v>
      </c>
      <c r="L12" s="14">
        <f>SUM(L7:L11)</f>
        <v>1650</v>
      </c>
      <c r="M12" s="14">
        <f>SUM(M7:M11)</f>
        <v>0</v>
      </c>
      <c r="N12" s="11"/>
      <c r="O12" s="11"/>
      <c r="P12" s="14"/>
      <c r="Q12" s="15" t="s">
        <v>15</v>
      </c>
      <c r="R12" s="14">
        <v>124</v>
      </c>
      <c r="S12" s="13"/>
      <c r="T12" s="13"/>
      <c r="U12" s="13"/>
    </row>
    <row r="13" spans="4:21" x14ac:dyDescent="0.4">
      <c r="D13" s="2" t="s">
        <v>29</v>
      </c>
      <c r="E13" s="2"/>
      <c r="F13" s="2"/>
      <c r="K13" s="11"/>
      <c r="L13" s="11"/>
      <c r="M13" s="11"/>
      <c r="N13" s="11"/>
      <c r="O13" s="11"/>
      <c r="P13" s="14"/>
      <c r="Q13" s="15" t="s">
        <v>32</v>
      </c>
      <c r="R13" s="14">
        <v>136</v>
      </c>
      <c r="S13" s="13"/>
      <c r="T13" s="13"/>
      <c r="U13" s="13"/>
    </row>
    <row r="14" spans="4:21" x14ac:dyDescent="0.4">
      <c r="D14" s="2" t="s">
        <v>30</v>
      </c>
      <c r="E14" s="2"/>
      <c r="F14" s="2"/>
      <c r="K14" s="11" t="s">
        <v>3</v>
      </c>
      <c r="L14" s="16">
        <f>L12</f>
        <v>1650</v>
      </c>
      <c r="M14" s="11"/>
      <c r="N14" s="11"/>
      <c r="O14" s="11"/>
      <c r="P14" s="14"/>
      <c r="Q14" s="11"/>
      <c r="R14" s="11"/>
      <c r="S14" s="13"/>
      <c r="T14" s="13"/>
      <c r="U14" s="13"/>
    </row>
    <row r="15" spans="4:21" x14ac:dyDescent="0.4">
      <c r="D15" s="2" t="s">
        <v>31</v>
      </c>
      <c r="E15" s="10"/>
      <c r="F15" s="10"/>
      <c r="K15" s="11" t="s">
        <v>20</v>
      </c>
      <c r="L15" s="11">
        <f>L14*R6</f>
        <v>165</v>
      </c>
      <c r="M15" s="11">
        <f>INT(L15)</f>
        <v>165</v>
      </c>
      <c r="N15" s="11"/>
      <c r="O15" s="11"/>
      <c r="P15" s="14"/>
      <c r="Q15" s="11"/>
      <c r="R15" s="11"/>
      <c r="S15" s="13"/>
      <c r="T15" s="13"/>
      <c r="U15" s="13"/>
    </row>
    <row r="16" spans="4:21" x14ac:dyDescent="0.4">
      <c r="K16" s="11" t="s">
        <v>21</v>
      </c>
      <c r="L16" s="17">
        <f>L14+L15</f>
        <v>1815</v>
      </c>
      <c r="M16" s="11"/>
      <c r="N16" s="11"/>
      <c r="O16" s="11"/>
      <c r="P16" s="11"/>
      <c r="Q16" s="15" t="s">
        <v>7</v>
      </c>
      <c r="R16" s="15" t="s">
        <v>8</v>
      </c>
      <c r="S16" s="13" t="s">
        <v>17</v>
      </c>
      <c r="T16" s="13" t="s">
        <v>18</v>
      </c>
      <c r="U16" s="13" t="s">
        <v>19</v>
      </c>
    </row>
    <row r="17" spans="11:21" x14ac:dyDescent="0.4">
      <c r="K17" s="11" t="s">
        <v>22</v>
      </c>
      <c r="L17" s="17">
        <f>L16-INT(L16/10)*10</f>
        <v>5</v>
      </c>
      <c r="M17" s="11"/>
      <c r="N17" s="11"/>
      <c r="O17" s="11"/>
      <c r="P17" s="11"/>
      <c r="Q17" s="11">
        <v>5</v>
      </c>
      <c r="R17" s="18">
        <f>R9*1/4</f>
        <v>412.5</v>
      </c>
      <c r="S17" s="13">
        <f>R17-INT(R17/10)*10</f>
        <v>2.5</v>
      </c>
      <c r="T17" s="13">
        <f>S17</f>
        <v>2.5</v>
      </c>
      <c r="U17" s="13">
        <f>INT(R17/10)*10+T17</f>
        <v>412.5</v>
      </c>
    </row>
    <row r="18" spans="11:21" x14ac:dyDescent="0.4">
      <c r="K18" s="11" t="s">
        <v>23</v>
      </c>
      <c r="L18" s="17">
        <f>IF(L17&lt;5,INT(L16/10)*10,IF(L17&gt;=5,INT(L16/10)*10+5,""))</f>
        <v>1815</v>
      </c>
      <c r="M18" s="11"/>
      <c r="N18" s="11"/>
      <c r="O18" s="11"/>
      <c r="P18" s="11"/>
      <c r="Q18" s="14">
        <v>10</v>
      </c>
      <c r="R18" s="19">
        <f>R9*2/4</f>
        <v>825</v>
      </c>
      <c r="S18" s="13">
        <f t="shared" ref="S18:S20" si="0">R18-INT(R18/10)*10</f>
        <v>5</v>
      </c>
      <c r="T18" s="13">
        <f t="shared" ref="T18:T20" si="1">S18</f>
        <v>5</v>
      </c>
      <c r="U18" s="13">
        <f t="shared" ref="U18:U20" si="2">INT(R18/10)*10+T18</f>
        <v>825</v>
      </c>
    </row>
    <row r="19" spans="11:21" x14ac:dyDescent="0.4">
      <c r="K19" s="11"/>
      <c r="L19" s="11"/>
      <c r="M19" s="11"/>
      <c r="N19" s="11"/>
      <c r="O19" s="11"/>
      <c r="P19" s="11"/>
      <c r="Q19" s="14">
        <v>15</v>
      </c>
      <c r="R19" s="19">
        <f>R9*3/4</f>
        <v>1237.5</v>
      </c>
      <c r="S19" s="13">
        <f t="shared" si="0"/>
        <v>7.5</v>
      </c>
      <c r="T19" s="13">
        <f t="shared" si="1"/>
        <v>7.5</v>
      </c>
      <c r="U19" s="13">
        <f t="shared" si="2"/>
        <v>1237.5</v>
      </c>
    </row>
    <row r="20" spans="11:21" x14ac:dyDescent="0.4">
      <c r="K20" s="11" t="s">
        <v>24</v>
      </c>
      <c r="L20" s="16">
        <f>L18</f>
        <v>1815</v>
      </c>
      <c r="M20" s="11"/>
      <c r="N20" s="11"/>
      <c r="O20" s="11"/>
      <c r="P20" s="11"/>
      <c r="Q20" s="14">
        <v>20</v>
      </c>
      <c r="R20" s="19">
        <f>R9</f>
        <v>1650</v>
      </c>
      <c r="S20" s="13">
        <f t="shared" si="0"/>
        <v>0</v>
      </c>
      <c r="T20" s="13">
        <f t="shared" si="1"/>
        <v>0</v>
      </c>
      <c r="U20" s="13">
        <f t="shared" si="2"/>
        <v>1650</v>
      </c>
    </row>
    <row r="21" spans="11:21" x14ac:dyDescent="0.4">
      <c r="N21" s="11"/>
      <c r="O21" s="11"/>
      <c r="P21" s="11"/>
      <c r="Q21" s="11"/>
      <c r="R21" s="11"/>
      <c r="S21" s="13"/>
      <c r="T21" s="13"/>
      <c r="U21" s="13"/>
    </row>
    <row r="22" spans="11:21" x14ac:dyDescent="0.4">
      <c r="N22" s="11"/>
      <c r="O22" s="11"/>
      <c r="P22" s="11"/>
      <c r="Q22" s="11"/>
      <c r="R22" s="11"/>
      <c r="S22" s="13"/>
      <c r="T22" s="13"/>
      <c r="U22" s="13"/>
    </row>
    <row r="23" spans="11:21" x14ac:dyDescent="0.4">
      <c r="N23" s="11"/>
      <c r="O23" s="11"/>
      <c r="P23" s="11"/>
      <c r="Q23" s="11"/>
      <c r="R23" s="11"/>
      <c r="S23" s="13"/>
      <c r="T23" s="13"/>
      <c r="U23" s="13"/>
    </row>
  </sheetData>
  <protectedRanges>
    <protectedRange sqref="D7" name="範囲1"/>
  </protectedRanges>
  <phoneticPr fontId="2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BE53B-5821-4D92-B5E7-06156B51B3E8}">
  <dimension ref="A1:U23"/>
  <sheetViews>
    <sheetView showGridLines="0" tabSelected="1" zoomScale="85" zoomScaleNormal="85" workbookViewId="0">
      <selection activeCell="T11" sqref="T11"/>
    </sheetView>
  </sheetViews>
  <sheetFormatPr defaultRowHeight="18.75" x14ac:dyDescent="0.4"/>
  <cols>
    <col min="2" max="5" width="15.625" customWidth="1"/>
    <col min="6" max="6" width="9" customWidth="1"/>
    <col min="7" max="7" width="2.875" customWidth="1"/>
    <col min="8" max="8" width="9" collapsed="1"/>
    <col min="9" max="9" width="12.5" customWidth="1"/>
    <col min="10" max="12" width="9" hidden="1" customWidth="1"/>
    <col min="13" max="13" width="4.875" customWidth="1" collapsed="1"/>
    <col min="16" max="17" width="9" hidden="1" customWidth="1"/>
    <col min="18" max="18" width="9" hidden="1" customWidth="1" collapsed="1"/>
    <col min="19" max="19" width="9" hidden="1" customWidth="1"/>
    <col min="20" max="20" width="9" customWidth="1"/>
    <col min="21" max="21" width="9" collapsed="1"/>
  </cols>
  <sheetData>
    <row r="1" spans="1:19" ht="18.75" customHeight="1" x14ac:dyDescent="0.4">
      <c r="A1" s="37" t="s">
        <v>53</v>
      </c>
      <c r="B1" s="37"/>
      <c r="C1" s="37"/>
      <c r="D1" s="37"/>
      <c r="E1" s="37"/>
      <c r="F1" s="35"/>
      <c r="G1" s="3"/>
      <c r="H1" s="22"/>
    </row>
    <row r="2" spans="1:19" ht="18.75" customHeight="1" x14ac:dyDescent="0.4">
      <c r="A2" s="37"/>
      <c r="B2" s="37"/>
      <c r="C2" s="37"/>
      <c r="D2" s="37"/>
      <c r="E2" s="37"/>
      <c r="F2" s="35"/>
      <c r="G2" s="3"/>
      <c r="H2" s="22"/>
    </row>
    <row r="3" spans="1:19" ht="18.75" customHeight="1" x14ac:dyDescent="0.4">
      <c r="A3" s="37"/>
      <c r="B3" s="37"/>
      <c r="C3" s="37"/>
      <c r="D3" s="37"/>
      <c r="E3" s="37"/>
      <c r="F3" s="35"/>
      <c r="G3" s="3"/>
      <c r="H3" s="29"/>
      <c r="I3" s="38" t="s">
        <v>62</v>
      </c>
      <c r="N3" s="29"/>
      <c r="O3" s="38" t="s">
        <v>62</v>
      </c>
    </row>
    <row r="4" spans="1:19" x14ac:dyDescent="0.4">
      <c r="A4" s="3"/>
      <c r="D4" s="2"/>
      <c r="E4" s="3"/>
      <c r="F4" s="3"/>
      <c r="G4" s="3"/>
      <c r="H4" s="27" t="s">
        <v>44</v>
      </c>
      <c r="I4" s="28" t="s">
        <v>49</v>
      </c>
      <c r="J4" s="20" t="s">
        <v>36</v>
      </c>
      <c r="K4" s="20" t="s">
        <v>34</v>
      </c>
      <c r="L4" s="20" t="s">
        <v>35</v>
      </c>
      <c r="N4" s="28" t="s">
        <v>60</v>
      </c>
      <c r="O4" s="28" t="s">
        <v>49</v>
      </c>
    </row>
    <row r="5" spans="1:19" x14ac:dyDescent="0.4">
      <c r="A5" s="3"/>
      <c r="B5" s="30" t="s">
        <v>44</v>
      </c>
      <c r="C5" s="30"/>
      <c r="D5" s="30" t="s">
        <v>0</v>
      </c>
      <c r="E5" s="30"/>
      <c r="F5" s="3"/>
      <c r="G5" s="3"/>
      <c r="H5" s="28">
        <v>13</v>
      </c>
      <c r="I5" s="25">
        <v>1420</v>
      </c>
      <c r="J5" s="25">
        <f t="shared" ref="J5:J12" si="0">+I5*3/4</f>
        <v>1065</v>
      </c>
      <c r="K5" s="25">
        <f t="shared" ref="K5:K12" si="1">+I5/2</f>
        <v>710</v>
      </c>
      <c r="L5" s="25">
        <f t="shared" ref="L5:L12" si="2">+K5/2</f>
        <v>355</v>
      </c>
      <c r="N5" s="20">
        <v>20</v>
      </c>
      <c r="O5" s="25">
        <v>1650</v>
      </c>
    </row>
    <row r="6" spans="1:19" ht="24.75" x14ac:dyDescent="0.4">
      <c r="A6" s="3"/>
      <c r="B6" s="5">
        <v>13</v>
      </c>
      <c r="C6" s="30" t="s">
        <v>45</v>
      </c>
      <c r="D6" s="5">
        <v>101</v>
      </c>
      <c r="E6" s="30" t="s">
        <v>25</v>
      </c>
      <c r="F6" s="3"/>
      <c r="G6" s="3"/>
      <c r="H6" s="28">
        <v>20</v>
      </c>
      <c r="I6" s="25">
        <v>2140</v>
      </c>
      <c r="J6" s="25">
        <f t="shared" si="0"/>
        <v>1605</v>
      </c>
      <c r="K6" s="25">
        <f t="shared" si="1"/>
        <v>1070</v>
      </c>
      <c r="L6" s="25">
        <f t="shared" si="2"/>
        <v>535</v>
      </c>
      <c r="N6" s="36">
        <v>10</v>
      </c>
      <c r="O6" s="36">
        <f>+O5/4*2</f>
        <v>825</v>
      </c>
    </row>
    <row r="7" spans="1:19" x14ac:dyDescent="0.4">
      <c r="A7" s="3"/>
      <c r="B7" s="33" t="s">
        <v>28</v>
      </c>
      <c r="C7" s="30"/>
      <c r="D7" s="33" t="s">
        <v>28</v>
      </c>
      <c r="E7" s="30"/>
      <c r="F7" s="3"/>
      <c r="G7" s="3"/>
      <c r="H7" s="28">
        <v>25</v>
      </c>
      <c r="I7" s="25">
        <v>2680</v>
      </c>
      <c r="J7" s="25">
        <f t="shared" si="0"/>
        <v>2010</v>
      </c>
      <c r="K7" s="25">
        <f t="shared" si="1"/>
        <v>1340</v>
      </c>
      <c r="L7" s="25">
        <f t="shared" si="2"/>
        <v>670</v>
      </c>
      <c r="N7" s="36">
        <v>15</v>
      </c>
      <c r="O7" s="36">
        <f>+O5/4*3</f>
        <v>1237.5</v>
      </c>
      <c r="R7" s="29" t="s">
        <v>56</v>
      </c>
      <c r="S7" s="29"/>
    </row>
    <row r="8" spans="1:19" x14ac:dyDescent="0.4">
      <c r="A8" s="3"/>
      <c r="B8" s="30" t="s">
        <v>59</v>
      </c>
      <c r="C8" s="30"/>
      <c r="D8" s="2"/>
      <c r="E8" s="3"/>
      <c r="F8" s="3"/>
      <c r="G8" s="3"/>
      <c r="H8" s="28">
        <v>30</v>
      </c>
      <c r="I8" s="25">
        <v>4360</v>
      </c>
      <c r="J8" s="25">
        <f t="shared" si="0"/>
        <v>3270</v>
      </c>
      <c r="K8" s="25">
        <f t="shared" si="1"/>
        <v>2180</v>
      </c>
      <c r="L8" s="25">
        <f t="shared" si="2"/>
        <v>1090</v>
      </c>
      <c r="R8" s="22" t="s">
        <v>49</v>
      </c>
      <c r="S8">
        <f>VLOOKUP($B$6,$H$4:$I$12,2)</f>
        <v>1420</v>
      </c>
    </row>
    <row r="9" spans="1:19" ht="24.75" x14ac:dyDescent="0.4">
      <c r="A9" s="3"/>
      <c r="B9" s="5" t="s">
        <v>61</v>
      </c>
      <c r="C9" s="32"/>
      <c r="D9" s="2"/>
      <c r="E9" s="3"/>
      <c r="F9" s="3"/>
      <c r="G9" s="4"/>
      <c r="H9" s="28">
        <v>40</v>
      </c>
      <c r="I9" s="25">
        <v>5400</v>
      </c>
      <c r="J9" s="25">
        <f t="shared" si="0"/>
        <v>4050</v>
      </c>
      <c r="K9" s="25">
        <f t="shared" si="1"/>
        <v>2700</v>
      </c>
      <c r="L9" s="25">
        <f t="shared" si="2"/>
        <v>1350</v>
      </c>
      <c r="R9" s="22" t="s">
        <v>50</v>
      </c>
      <c r="S9">
        <f xml:space="preserve">
IF(D6&lt;=20,0,
IF(D6&lt;100,(D6-20)*I17,
IF(D6&lt;200,(D6-100)*I18+K17,
IF(D6&lt;1000,(D6-200)*I19+K18,
(D6-1000)*I20+K19))))</f>
        <v>5526</v>
      </c>
    </row>
    <row r="10" spans="1:19" x14ac:dyDescent="0.4">
      <c r="A10" s="3"/>
      <c r="D10" s="2"/>
      <c r="E10" s="3"/>
      <c r="F10" s="3"/>
      <c r="G10" s="3"/>
      <c r="H10" s="28">
        <v>50</v>
      </c>
      <c r="I10" s="25">
        <v>12500</v>
      </c>
      <c r="J10" s="25">
        <f t="shared" si="0"/>
        <v>9375</v>
      </c>
      <c r="K10" s="25">
        <f t="shared" si="1"/>
        <v>6250</v>
      </c>
      <c r="L10" s="25">
        <f t="shared" si="2"/>
        <v>3125</v>
      </c>
      <c r="R10" s="22" t="s">
        <v>51</v>
      </c>
      <c r="S10">
        <f>SUM(S8:S9)</f>
        <v>6946</v>
      </c>
    </row>
    <row r="11" spans="1:19" ht="25.5" thickBot="1" x14ac:dyDescent="0.45">
      <c r="A11" s="3"/>
      <c r="B11" s="31" t="s">
        <v>43</v>
      </c>
      <c r="C11" s="31"/>
      <c r="D11" s="31" t="s">
        <v>63</v>
      </c>
      <c r="E11" s="31"/>
      <c r="F11" s="3"/>
      <c r="G11" s="3"/>
      <c r="H11" s="28">
        <v>75</v>
      </c>
      <c r="I11" s="25">
        <v>23280</v>
      </c>
      <c r="J11" s="25">
        <f t="shared" si="0"/>
        <v>17460</v>
      </c>
      <c r="K11" s="25">
        <f t="shared" si="1"/>
        <v>11640</v>
      </c>
      <c r="L11" s="25">
        <f t="shared" si="2"/>
        <v>5820</v>
      </c>
      <c r="R11" s="22" t="s">
        <v>2</v>
      </c>
      <c r="S11">
        <f>+S12-S10</f>
        <v>694</v>
      </c>
    </row>
    <row r="12" spans="1:19" ht="25.5" thickBot="1" x14ac:dyDescent="0.45">
      <c r="A12" s="3"/>
      <c r="B12" s="21">
        <f>S12</f>
        <v>7640</v>
      </c>
      <c r="C12" s="34" t="s">
        <v>26</v>
      </c>
      <c r="D12" s="21">
        <f>IF(B9="あり",S19,0)</f>
        <v>9415</v>
      </c>
      <c r="E12" s="34" t="s">
        <v>26</v>
      </c>
      <c r="F12" s="3"/>
      <c r="G12" s="3"/>
      <c r="H12" s="28">
        <v>100</v>
      </c>
      <c r="I12" s="25">
        <v>40120</v>
      </c>
      <c r="J12" s="25">
        <f t="shared" si="0"/>
        <v>30090</v>
      </c>
      <c r="K12" s="25">
        <f t="shared" si="1"/>
        <v>20060</v>
      </c>
      <c r="L12" s="25">
        <f t="shared" si="2"/>
        <v>10030</v>
      </c>
      <c r="R12" s="24" t="s">
        <v>52</v>
      </c>
      <c r="S12" s="23">
        <f>FLOOR((S8+S9)*1.1,5)</f>
        <v>7640</v>
      </c>
    </row>
    <row r="13" spans="1:19" x14ac:dyDescent="0.4">
      <c r="A13" s="3"/>
      <c r="D13" s="2"/>
      <c r="E13" s="3"/>
      <c r="F13" s="3"/>
      <c r="G13" s="3"/>
      <c r="H13" s="22"/>
    </row>
    <row r="14" spans="1:19" ht="24.75" x14ac:dyDescent="0.4">
      <c r="A14" s="3"/>
      <c r="B14" s="31" t="s">
        <v>58</v>
      </c>
      <c r="C14" s="31"/>
      <c r="D14" s="2"/>
      <c r="E14" s="3"/>
      <c r="F14" s="3"/>
      <c r="G14" s="3"/>
      <c r="H14" s="29"/>
      <c r="I14" s="38" t="s">
        <v>62</v>
      </c>
      <c r="N14" s="29"/>
      <c r="O14" s="38" t="s">
        <v>62</v>
      </c>
      <c r="R14" s="29" t="s">
        <v>57</v>
      </c>
      <c r="S14" s="29"/>
    </row>
    <row r="15" spans="1:19" ht="24.75" x14ac:dyDescent="0.4">
      <c r="A15" s="3"/>
      <c r="B15" s="21">
        <f>B12+D12</f>
        <v>17055</v>
      </c>
      <c r="C15" s="34" t="s">
        <v>26</v>
      </c>
      <c r="D15" s="2"/>
      <c r="E15" s="3"/>
      <c r="F15" s="3"/>
      <c r="G15" s="3"/>
      <c r="H15" s="28" t="s">
        <v>42</v>
      </c>
      <c r="I15" s="26" t="s">
        <v>55</v>
      </c>
      <c r="N15" s="28" t="s">
        <v>42</v>
      </c>
      <c r="O15" s="26" t="s">
        <v>55</v>
      </c>
      <c r="R15" s="22" t="s">
        <v>49</v>
      </c>
      <c r="S15">
        <f>O5</f>
        <v>1650</v>
      </c>
    </row>
    <row r="16" spans="1:19" x14ac:dyDescent="0.4">
      <c r="A16" s="3"/>
      <c r="D16" s="2"/>
      <c r="E16" s="3"/>
      <c r="F16" s="3"/>
      <c r="G16" s="3"/>
      <c r="H16" s="28" t="s">
        <v>37</v>
      </c>
      <c r="I16" s="25">
        <v>0</v>
      </c>
      <c r="N16" s="28" t="s">
        <v>37</v>
      </c>
      <c r="O16" s="25">
        <v>0</v>
      </c>
      <c r="R16" s="22" t="s">
        <v>50</v>
      </c>
      <c r="S16">
        <f xml:space="preserve">
IF($D$6&lt;=20,0,
IF($D$6&lt;100,($D$6-20)*O17,
IF($D$6&lt;200,($D$6-100)*O18+Q17,
IF($D$6&lt;1000,($D$6-200)*O19+Q18,
(D6-1000)*O20+Q19))))</f>
        <v>6912</v>
      </c>
    </row>
    <row r="17" spans="1:19" x14ac:dyDescent="0.4">
      <c r="A17" s="3"/>
      <c r="B17" s="2" t="s">
        <v>29</v>
      </c>
      <c r="C17" s="2"/>
      <c r="D17" s="10"/>
      <c r="E17" s="3"/>
      <c r="F17" s="3"/>
      <c r="G17" s="3"/>
      <c r="H17" s="28" t="s">
        <v>38</v>
      </c>
      <c r="I17" s="25">
        <v>68</v>
      </c>
      <c r="J17">
        <f>+I17*80</f>
        <v>5440</v>
      </c>
      <c r="K17">
        <f>SUM($J$17:J17)</f>
        <v>5440</v>
      </c>
      <c r="N17" s="28" t="s">
        <v>38</v>
      </c>
      <c r="O17" s="25">
        <v>85</v>
      </c>
      <c r="P17">
        <f>O17*80</f>
        <v>6800</v>
      </c>
      <c r="Q17">
        <f>SUM($P$17:P17)</f>
        <v>6800</v>
      </c>
      <c r="R17" s="22" t="s">
        <v>51</v>
      </c>
      <c r="S17">
        <f>SUM(S15:S16)</f>
        <v>8562</v>
      </c>
    </row>
    <row r="18" spans="1:19" ht="19.5" thickBot="1" x14ac:dyDescent="0.45">
      <c r="A18" s="3"/>
      <c r="B18" s="2" t="s">
        <v>31</v>
      </c>
      <c r="C18" s="2"/>
      <c r="D18" s="3"/>
      <c r="E18" s="3"/>
      <c r="F18" s="3"/>
      <c r="G18" s="3"/>
      <c r="H18" s="28" t="s">
        <v>39</v>
      </c>
      <c r="I18" s="25">
        <v>86</v>
      </c>
      <c r="J18">
        <f>+I18*100</f>
        <v>8600</v>
      </c>
      <c r="K18">
        <f>SUM($J$17:J18)</f>
        <v>14040</v>
      </c>
      <c r="N18" s="28" t="s">
        <v>39</v>
      </c>
      <c r="O18" s="25">
        <v>112</v>
      </c>
      <c r="P18">
        <f>O18*100</f>
        <v>11200</v>
      </c>
      <c r="Q18">
        <f>SUM($P$17:P18)</f>
        <v>18000</v>
      </c>
      <c r="R18" s="22" t="s">
        <v>2</v>
      </c>
      <c r="S18">
        <f>+S19-S17</f>
        <v>853</v>
      </c>
    </row>
    <row r="19" spans="1:19" ht="19.5" thickBot="1" x14ac:dyDescent="0.45">
      <c r="A19" s="3"/>
      <c r="B19" s="2" t="s">
        <v>47</v>
      </c>
      <c r="C19" s="10"/>
      <c r="D19" s="3"/>
      <c r="E19" s="3"/>
      <c r="F19" s="3"/>
      <c r="G19" s="3"/>
      <c r="H19" s="28" t="s">
        <v>40</v>
      </c>
      <c r="I19" s="25">
        <v>122</v>
      </c>
      <c r="J19">
        <f>+I19*800</f>
        <v>97600</v>
      </c>
      <c r="K19">
        <f>SUM($J$17:J19)</f>
        <v>111640</v>
      </c>
      <c r="N19" s="28" t="s">
        <v>40</v>
      </c>
      <c r="O19" s="25">
        <v>124</v>
      </c>
      <c r="P19">
        <f>O19*800</f>
        <v>99200</v>
      </c>
      <c r="Q19">
        <f>SUM($P$17:P19)</f>
        <v>117200</v>
      </c>
      <c r="R19" s="24" t="s">
        <v>52</v>
      </c>
      <c r="S19" s="23">
        <f>FLOOR((S15+S16)*1.1,5)</f>
        <v>9415</v>
      </c>
    </row>
    <row r="20" spans="1:19" x14ac:dyDescent="0.4">
      <c r="A20" s="3"/>
      <c r="B20" s="2" t="s">
        <v>48</v>
      </c>
      <c r="C20" s="3"/>
      <c r="D20" s="3"/>
      <c r="E20" s="3"/>
      <c r="F20" s="3"/>
      <c r="G20" s="3"/>
      <c r="H20" s="28" t="s">
        <v>41</v>
      </c>
      <c r="I20" s="25">
        <v>141</v>
      </c>
      <c r="N20" s="28" t="s">
        <v>41</v>
      </c>
      <c r="O20" s="25">
        <v>136</v>
      </c>
    </row>
    <row r="21" spans="1:19" x14ac:dyDescent="0.4">
      <c r="A21" s="3"/>
      <c r="B21" s="2"/>
      <c r="C21" s="3"/>
      <c r="F21" s="3"/>
    </row>
    <row r="23" spans="1:19" x14ac:dyDescent="0.4">
      <c r="B23" s="3"/>
      <c r="C23" s="3"/>
    </row>
  </sheetData>
  <sheetProtection algorithmName="SHA-512" hashValue="p8Z8lhOqbqDWJbV4htf5/AeHw7781pwLI7w2Z7jZF2kQ09xVjVhiC2CHgG4KWzNBL1OWZqlbC8J0C5JupccScQ==" saltValue="Nvv9SXbnGDO7zcrd2D+TPw==" spinCount="100000" sheet="1" objects="1" scenarios="1"/>
  <protectedRanges>
    <protectedRange sqref="D6 B6 B9" name="範囲1_1_1"/>
  </protectedRanges>
  <mergeCells count="1">
    <mergeCell ref="A1:E3"/>
  </mergeCells>
  <phoneticPr fontId="2"/>
  <dataValidations count="2">
    <dataValidation type="list" allowBlank="1" showInputMessage="1" showErrorMessage="1" sqref="B6" xr:uid="{D4ED61BB-F513-4813-8A0F-2F2FDD663FF5}">
      <formula1>$H$5:$H$12</formula1>
    </dataValidation>
    <dataValidation type="list" allowBlank="1" showInputMessage="1" showErrorMessage="1" sqref="B9" xr:uid="{B73FF002-1DAE-4827-A889-4613AFA06F00}">
      <formula1>"あり,なし"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水道</vt:lpstr>
      <vt:lpstr>下水</vt:lpstr>
      <vt:lpstr>上下水</vt:lpstr>
      <vt:lpstr>水道!Print_Area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f舟久保　達也</dc:creator>
  <cp:lastModifiedBy>f舟久保　達也</cp:lastModifiedBy>
  <dcterms:created xsi:type="dcterms:W3CDTF">2025-12-19T02:56:17Z</dcterms:created>
  <dcterms:modified xsi:type="dcterms:W3CDTF">2026-01-06T00:35:48Z</dcterms:modified>
</cp:coreProperties>
</file>